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6640" windowHeight="10275" firstSheet="1" activeTab="1"/>
  </bookViews>
  <sheets>
    <sheet name="Межнорматив (2)" sheetId="4" state="hidden" r:id="rId1"/>
    <sheet name=" Межнормативная разница" sheetId="5" r:id="rId2"/>
    <sheet name="Лист3" sheetId="3" state="hidden" r:id="rId3"/>
  </sheets>
  <definedNames>
    <definedName name="_xlnm.Print_Area" localSheetId="1">' Межнормативная разница'!$A$1:$J$39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5"/>
  <c r="J25"/>
  <c r="J24"/>
  <c r="J26"/>
  <c r="J32"/>
  <c r="J31"/>
  <c r="J30"/>
  <c r="J29"/>
  <c r="J28"/>
  <c r="J27"/>
  <c r="J17"/>
  <c r="J16"/>
  <c r="J15"/>
  <c r="J14"/>
  <c r="J13"/>
  <c r="J12"/>
  <c r="J11"/>
  <c r="J10"/>
  <c r="J9"/>
  <c r="J8"/>
  <c r="J7"/>
  <c r="J6"/>
  <c r="J19" l="1"/>
  <c r="J35"/>
  <c r="J37" l="1"/>
  <c r="K18" i="4" l="1"/>
  <c r="E18"/>
  <c r="F18"/>
  <c r="G18"/>
  <c r="H18"/>
  <c r="I18"/>
  <c r="J18"/>
  <c r="D18"/>
  <c r="C18"/>
  <c r="K17"/>
  <c r="E17"/>
  <c r="F17"/>
  <c r="G17"/>
  <c r="H17"/>
  <c r="I17"/>
  <c r="J17"/>
  <c r="D17"/>
  <c r="C17"/>
  <c r="C20"/>
  <c r="C11"/>
  <c r="D9"/>
  <c r="E9"/>
  <c r="F9"/>
  <c r="G9"/>
  <c r="H9"/>
  <c r="I9"/>
  <c r="J9"/>
  <c r="K9"/>
  <c r="L9"/>
  <c r="M9"/>
  <c r="N9"/>
  <c r="C9"/>
  <c r="N11"/>
  <c r="D8"/>
  <c r="E8"/>
  <c r="F8"/>
  <c r="G8"/>
  <c r="H8"/>
  <c r="I8"/>
  <c r="J8"/>
  <c r="K8"/>
  <c r="L8"/>
  <c r="M8"/>
  <c r="N8"/>
  <c r="C8"/>
  <c r="C10"/>
  <c r="D10"/>
  <c r="D11" s="1"/>
  <c r="E10"/>
  <c r="E11" s="1"/>
  <c r="F10"/>
  <c r="F11" s="1"/>
  <c r="G10"/>
  <c r="G11" s="1"/>
  <c r="H10"/>
  <c r="H11" s="1"/>
  <c r="I10"/>
  <c r="I11" s="1"/>
  <c r="J10"/>
  <c r="J11" s="1"/>
  <c r="K10"/>
  <c r="K11" s="1"/>
  <c r="L10"/>
  <c r="L11" s="1"/>
  <c r="M10"/>
  <c r="M11" s="1"/>
  <c r="N10"/>
  <c r="D19"/>
  <c r="E19"/>
  <c r="E20" s="1"/>
  <c r="F19"/>
  <c r="F20" s="1"/>
  <c r="G19"/>
  <c r="G20" s="1"/>
  <c r="H19"/>
  <c r="H20" s="1"/>
  <c r="I19"/>
  <c r="I20" s="1"/>
  <c r="J19"/>
  <c r="J20" s="1"/>
  <c r="C30"/>
  <c r="E26"/>
  <c r="C26"/>
  <c r="N20"/>
  <c r="M20"/>
  <c r="L20"/>
  <c r="K20"/>
  <c r="D20"/>
  <c r="O17" l="1"/>
  <c r="O9"/>
  <c r="O8"/>
  <c r="O18"/>
  <c r="O20"/>
  <c r="O11"/>
  <c r="O9" i="3"/>
  <c r="O10" s="1"/>
  <c r="O15" s="1"/>
  <c r="O22" i="4" l="1"/>
  <c r="L25" i="3"/>
  <c r="M25"/>
  <c r="N25"/>
  <c r="I25"/>
  <c r="E25"/>
  <c r="F25"/>
  <c r="G25"/>
  <c r="H25"/>
  <c r="N20"/>
  <c r="M20"/>
  <c r="L20"/>
  <c r="K20"/>
  <c r="K25" s="1"/>
  <c r="J20"/>
  <c r="J25" s="1"/>
  <c r="I20"/>
  <c r="H20"/>
  <c r="G20"/>
  <c r="F20"/>
  <c r="E20"/>
  <c r="D20"/>
  <c r="D25" s="1"/>
  <c r="C20"/>
  <c r="O20" s="1"/>
  <c r="C25" l="1"/>
  <c r="O25" s="1"/>
  <c r="O19"/>
  <c r="D6" l="1"/>
  <c r="E6"/>
  <c r="C6"/>
  <c r="M12" l="1"/>
  <c r="I12"/>
  <c r="N12"/>
  <c r="E12"/>
  <c r="L12"/>
  <c r="C12"/>
  <c r="D12"/>
  <c r="F12"/>
  <c r="G12"/>
  <c r="H12"/>
  <c r="J12"/>
  <c r="K12"/>
  <c r="J22"/>
  <c r="I22"/>
  <c r="K22"/>
  <c r="L22"/>
  <c r="N22"/>
  <c r="M22"/>
  <c r="D22"/>
  <c r="C22"/>
  <c r="H22"/>
  <c r="F22"/>
  <c r="E22"/>
  <c r="G22"/>
  <c r="O12" l="1"/>
  <c r="O14" s="1"/>
  <c r="O16" s="1"/>
  <c r="O22"/>
  <c r="O24" s="1"/>
  <c r="O26" s="1"/>
  <c r="O28" l="1"/>
</calcChain>
</file>

<file path=xl/sharedStrings.xml><?xml version="1.0" encoding="utf-8"?>
<sst xmlns="http://schemas.openxmlformats.org/spreadsheetml/2006/main" count="143" uniqueCount="70">
  <si>
    <t>2020 год</t>
  </si>
  <si>
    <t>январь</t>
  </si>
  <si>
    <t>февраль</t>
  </si>
  <si>
    <t>Количество потребителей</t>
  </si>
  <si>
    <t>Сумма субсидии, тыс.руб.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</si>
  <si>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</si>
  <si>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</si>
  <si>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</si>
  <si>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</si>
  <si>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</si>
  <si>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</si>
  <si>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</si>
  <si>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</si>
  <si>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</si>
  <si>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</si>
  <si>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</si>
  <si>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Межнормативная разница,м3/год</t>
  </si>
  <si>
    <t>Единый тариф, тыс.руб.</t>
  </si>
  <si>
    <t>2021 год</t>
  </si>
  <si>
    <t>ИТОГО</t>
  </si>
  <si>
    <t>Льготный тариф, руб/м3</t>
  </si>
  <si>
    <t>Единый тариф, руб/м3</t>
  </si>
  <si>
    <t>Объем ФЛ, тыс.м3</t>
  </si>
  <si>
    <t>Объем ЮЛ, тыс.м3</t>
  </si>
  <si>
    <t>2020 г</t>
  </si>
  <si>
    <t>1 п/г</t>
  </si>
  <si>
    <t>2 п/г</t>
  </si>
  <si>
    <t>Межтарифная разница, руб/м3</t>
  </si>
  <si>
    <t>Недополученная выручка по ЮЛ</t>
  </si>
  <si>
    <t>2021 г</t>
  </si>
  <si>
    <t>Потребность в субсидии, тыс.руб.</t>
  </si>
  <si>
    <t>Субсидия получена, тыс.руб.</t>
  </si>
  <si>
    <t>Недополученная межтарифная субсидия, тыс.руб.</t>
  </si>
  <si>
    <t>Перерасчет ФЛ, тыс.руб.</t>
  </si>
  <si>
    <t>Перерасчет МТ субсидии, тыс.руб.</t>
  </si>
  <si>
    <t>Норматив накопления ТКО для потребителей, проживающих 
в многоквартирных жилых домах, расположенных на территории городских населенных пунктов Архангельской области с численностью населения более 
12 тысяч человек, утвержденный постановлением министерства от 23 мая 2018 г. № 11п «Об утверждении нормативов накопления твердых коммунальных отходов на территории Архангельской области» (в редакции постановления министерства от 14 сентября 2021 г. № 14п), куб.м/год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</si>
  <si>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</si>
  <si>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</si>
  <si>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</si>
  <si>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</si>
  <si>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</si>
  <si>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</si>
  <si>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</si>
  <si>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</si>
  <si>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</si>
  <si>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</si>
  <si>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</si>
  <si>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</si>
  <si>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</t>
  </si>
  <si>
    <t>Норматив накопления ТКО для потребителей, проживающих 
в домовладениях, расположенных на территории городских населенных пунктов Архангельской области с численностью населения более 12 тысяч человек, утвержденный постановлением министерства от 23 мая 2018 г. 
№ 11п «Об утверждении нормативов накопления твердых коммунальных отходов на территории Архангельской области» в редакции постановления министерства от 29 января 2021 г. № 1п, куб.м/год</t>
  </si>
  <si>
    <t>Январь (12 дней)</t>
  </si>
  <si>
    <t>Сентябрь (7 дней)</t>
  </si>
  <si>
    <t>К(i)</t>
  </si>
  <si>
    <t>Т(i)</t>
  </si>
  <si>
    <t>i</t>
  </si>
  <si>
    <t>Январь (19 дней)</t>
  </si>
  <si>
    <t>Предельный единый тариф на услугу регионального оператора с 1 января 
2021 г. по 30 июня 2021 г., установленный постановлением агентства
от 24 декабря 2021 г. № 85-п/7, руб./куб.м</t>
  </si>
  <si>
    <t xml:space="preserve">Предельный единый тариф на услугу регионального оператора с 1 июля 2021 г. по 31 декабря 2021 г., установленный постановлением агентства от 24 декабря 2021 г. № 85-п/7, руб./куб.м.
</t>
  </si>
  <si>
    <t>Предельный единый тариф на услугу регионального оператора с 1 октября 
2020 г. по 31 декабря 2020 г., установленный постановлением агентства
от 30 сентября 2020 г. № 44-в/3, руб./куб.м</t>
  </si>
  <si>
    <t>Предельный единый тариф на услугу регионального оператора с 1 января 
2020 г. по 30 сентября 2020 г., установленный постановлением агентства
от 30 сентября 2020 г. № 44-в/3, руб./куб.м</t>
  </si>
  <si>
    <t>Количество потребителей коммунальной услуги в i-месяц 2020 г., проживающих в многоквартирных жилых домах, расположенных на территории городских населенных пунктов Архангельской области с численностью населения более 12 тысяч человек, принятые Министерством природных ресурсов и лесопромышленного комплекса Архангельской области при выплате региональному оператору за 2020 г. межтарифной разницы</t>
  </si>
  <si>
    <r>
      <t>Норматив накопления ТКО для потребителей, проживающих 
в домовладениях, расположенных на территории городских населенных пунктов Архангельской области с численностью населения более 12 тысяч человек, утвержденный постановлением министерства от 23 мая 2018 г. 
№ 11п «Об утверждении нормативов накопления твердых коммунальных отходов на территории Архангельской области» в редакции постановления министерства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от 9 августа 2019 г. № 24п, куб.м/год</t>
    </r>
  </si>
  <si>
    <t>Количество потребителей коммунальной услуги в i-месяц 2021 г., проживающих в многоквартирных жилых домах, расположенных на территории городских населенных пунктов Архангельской области с численностью населения более 12 тысяч человек, принятые Министерством природных ресурсов и лесопромышленного комплекса Архангельской области при выплате региональному оператору за 2021 г. межтарифной разницы</t>
  </si>
  <si>
    <t>Сумма субсидии, руб.</t>
  </si>
  <si>
    <t>Норматив накопления ТКО для потребителей, проживающих 
в домовладениях, расположенных на территории городских населенных пунктов Архангельской области с численностью населения более 12 тысяч человек, утвержденный постановлением министерства от 23 мая 2018 г. 
№ 11п «Об утверждении нормативов накопления твердых коммунальных отходов на территории Архангельской области» в редакции постановления министерства от 9 августа 2019 г. № 24п, куб.м/год</t>
  </si>
  <si>
    <r>
      <t>Н</t>
    </r>
    <r>
      <rPr>
        <vertAlign val="subscript"/>
        <sz val="12"/>
        <color theme="1"/>
        <rFont val="Times New Roman"/>
        <family val="1"/>
        <charset val="204"/>
      </rPr>
      <t>1</t>
    </r>
  </si>
  <si>
    <r>
      <t>Н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</si>
  <si>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Н</t>
    </r>
    <r>
      <rPr>
        <vertAlign val="subscript"/>
        <sz val="12"/>
        <color theme="1"/>
        <rFont val="Times New Roman"/>
        <family val="1"/>
        <charset val="204"/>
      </rPr>
      <t>3</t>
    </r>
  </si>
  <si>
    <t>Расчет потребности средств в субсидии в связи со снижением размера платы за оказание коммунальной услуги по обращению с твердыми коммунальными отходами вследствие снижения норматива накопления твердых коммунальных отходов на территории Архангельской области за период 2020-2021 гг</t>
  </si>
  <si>
    <t>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</si>
</sst>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1" fillId="0" borderId="0" xfId="0" applyNumberFormat="1" applyFont="1"/>
    <xf numFmtId="4" fontId="2" fillId="0" borderId="0" xfId="0" applyNumberFormat="1" applyFont="1"/>
    <xf numFmtId="0" fontId="1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0" applyNumberFormat="1" applyFont="1"/>
    <xf numFmtId="0" fontId="3" fillId="0" borderId="0" xfId="0" applyFont="1" applyAlignment="1">
      <alignment horizontal="right" vertical="center"/>
    </xf>
    <xf numFmtId="43" fontId="3" fillId="0" borderId="0" xfId="0" applyNumberFormat="1" applyFont="1" applyAlignment="1">
      <alignment horizontal="center" vertical="center" wrapText="1"/>
    </xf>
    <xf numFmtId="43" fontId="5" fillId="0" borderId="0" xfId="0" applyNumberFormat="1" applyFont="1" applyFill="1"/>
    <xf numFmtId="0" fontId="5" fillId="0" borderId="0" xfId="0" applyFont="1" applyFill="1"/>
    <xf numFmtId="0" fontId="5" fillId="3" borderId="0" xfId="0" applyFont="1" applyFill="1"/>
    <xf numFmtId="43" fontId="3" fillId="0" borderId="0" xfId="0" applyNumberFormat="1" applyFont="1"/>
    <xf numFmtId="3" fontId="5" fillId="0" borderId="0" xfId="0" applyNumberFormat="1" applyFont="1" applyFill="1"/>
    <xf numFmtId="0" fontId="3" fillId="0" borderId="0" xfId="0" applyFont="1" applyFill="1"/>
    <xf numFmtId="3" fontId="5" fillId="0" borderId="0" xfId="0" applyNumberFormat="1" applyFont="1"/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43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O30"/>
  <sheetViews>
    <sheetView workbookViewId="0">
      <selection activeCell="L24" sqref="L24"/>
    </sheetView>
  </sheetViews>
  <sheetFormatPr defaultRowHeight="16.5"/>
  <cols>
    <col min="1" max="1" width="9.140625" style="1"/>
    <col min="2" max="2" width="30" style="1" customWidth="1"/>
    <col min="3" max="3" width="10.5703125" style="1" bestFit="1" customWidth="1"/>
    <col min="4" max="4" width="9.42578125" style="1" bestFit="1" customWidth="1"/>
    <col min="5" max="5" width="10" style="1" bestFit="1" customWidth="1"/>
    <col min="6" max="14" width="9.42578125" style="1" bestFit="1" customWidth="1"/>
    <col min="15" max="15" width="10.42578125" style="1" bestFit="1" customWidth="1"/>
    <col min="16" max="16384" width="9.140625" style="1"/>
  </cols>
  <sheetData>
    <row r="4" spans="2:15">
      <c r="B4" s="8" t="s">
        <v>0</v>
      </c>
      <c r="C4" s="8" t="s">
        <v>1</v>
      </c>
      <c r="D4" s="8" t="s">
        <v>2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</row>
    <row r="5" spans="2:15">
      <c r="B5" s="1" t="s">
        <v>3</v>
      </c>
      <c r="C5" s="4">
        <v>555119</v>
      </c>
      <c r="D5" s="4">
        <v>649277</v>
      </c>
      <c r="E5" s="4">
        <v>681741</v>
      </c>
      <c r="F5" s="4">
        <v>708517</v>
      </c>
      <c r="G5" s="4">
        <v>704115</v>
      </c>
      <c r="H5" s="4">
        <v>707376</v>
      </c>
      <c r="I5" s="4">
        <v>701402</v>
      </c>
      <c r="J5" s="4">
        <v>697258</v>
      </c>
      <c r="K5" s="4">
        <v>698892</v>
      </c>
      <c r="L5" s="4">
        <v>706316</v>
      </c>
      <c r="M5" s="4">
        <v>712354</v>
      </c>
      <c r="N5" s="4">
        <v>713133</v>
      </c>
      <c r="O5" s="4"/>
    </row>
    <row r="6" spans="2:15">
      <c r="B6" s="1" t="s">
        <v>20</v>
      </c>
      <c r="C6" s="4">
        <v>520</v>
      </c>
      <c r="D6" s="4">
        <v>520</v>
      </c>
      <c r="E6" s="4">
        <v>520</v>
      </c>
      <c r="F6" s="4">
        <v>520</v>
      </c>
      <c r="G6" s="4">
        <v>520</v>
      </c>
      <c r="H6" s="4">
        <v>520</v>
      </c>
      <c r="I6" s="4">
        <v>520</v>
      </c>
      <c r="J6" s="4">
        <v>520</v>
      </c>
      <c r="K6" s="4">
        <v>520</v>
      </c>
      <c r="L6" s="4">
        <v>520</v>
      </c>
      <c r="M6" s="4">
        <v>520</v>
      </c>
      <c r="N6" s="4">
        <v>520</v>
      </c>
      <c r="O6" s="4"/>
    </row>
    <row r="7" spans="2:15">
      <c r="B7" s="1" t="s">
        <v>17</v>
      </c>
      <c r="C7" s="3">
        <v>579.54</v>
      </c>
      <c r="D7" s="3">
        <v>579.54</v>
      </c>
      <c r="E7" s="3">
        <v>579.54</v>
      </c>
      <c r="F7" s="3">
        <v>579.54</v>
      </c>
      <c r="G7" s="3">
        <v>579.54</v>
      </c>
      <c r="H7" s="3">
        <v>579.54</v>
      </c>
      <c r="I7" s="3">
        <v>579.54</v>
      </c>
      <c r="J7" s="3">
        <v>579.54</v>
      </c>
      <c r="K7" s="3">
        <v>579.54</v>
      </c>
      <c r="L7" s="3">
        <v>520.45000000000005</v>
      </c>
      <c r="M7" s="3">
        <v>520.45000000000005</v>
      </c>
      <c r="N7" s="3">
        <v>520.45000000000005</v>
      </c>
      <c r="O7" s="3"/>
    </row>
    <row r="8" spans="2:15">
      <c r="B8" s="1" t="s">
        <v>33</v>
      </c>
      <c r="C8" s="3">
        <f>C5*2.29/12*C6/1000-C5*2.77/12*C6/1000</f>
        <v>-11546.475200000001</v>
      </c>
      <c r="D8" s="3">
        <f t="shared" ref="D8:N8" si="0">D5*2.29/12*D6/1000-D5*2.77/12*D6/1000</f>
        <v>-13504.961599999995</v>
      </c>
      <c r="E8" s="3">
        <f t="shared" si="0"/>
        <v>-14180.212799999994</v>
      </c>
      <c r="F8" s="3">
        <f t="shared" si="0"/>
        <v>-14737.15360000002</v>
      </c>
      <c r="G8" s="3">
        <f t="shared" si="0"/>
        <v>-14645.59199999999</v>
      </c>
      <c r="H8" s="3">
        <f t="shared" si="0"/>
        <v>-14713.420799999993</v>
      </c>
      <c r="I8" s="3">
        <f t="shared" si="0"/>
        <v>-14589.161599999992</v>
      </c>
      <c r="J8" s="3">
        <f t="shared" si="0"/>
        <v>-14502.966400000005</v>
      </c>
      <c r="K8" s="3">
        <f t="shared" si="0"/>
        <v>-14536.953600000008</v>
      </c>
      <c r="L8" s="3">
        <f t="shared" si="0"/>
        <v>-14691.372799999997</v>
      </c>
      <c r="M8" s="3">
        <f t="shared" si="0"/>
        <v>-14816.963199999998</v>
      </c>
      <c r="N8" s="3">
        <f t="shared" si="0"/>
        <v>-14833.166399999987</v>
      </c>
      <c r="O8" s="3">
        <f>SUM(C8:N8)</f>
        <v>-171298.39999999997</v>
      </c>
    </row>
    <row r="9" spans="2:15">
      <c r="B9" s="1" t="s">
        <v>34</v>
      </c>
      <c r="C9" s="3">
        <f t="shared" ref="C9:N9" si="1">C5*2.29/12*(C7-C6)/1000-C5*2.77/12*(C7-C6)/1000</f>
        <v>-1322.0714103999999</v>
      </c>
      <c r="D9" s="3">
        <f t="shared" si="1"/>
        <v>-1546.3181031999975</v>
      </c>
      <c r="E9" s="3">
        <f t="shared" si="1"/>
        <v>-1623.6343655999981</v>
      </c>
      <c r="F9" s="3">
        <f t="shared" si="1"/>
        <v>-1687.4040871999996</v>
      </c>
      <c r="G9" s="3">
        <f t="shared" si="1"/>
        <v>-1676.9202839999971</v>
      </c>
      <c r="H9" s="3">
        <f t="shared" si="1"/>
        <v>-1684.6866815999974</v>
      </c>
      <c r="I9" s="3">
        <f t="shared" si="1"/>
        <v>-1670.4590031999969</v>
      </c>
      <c r="J9" s="3">
        <f t="shared" si="1"/>
        <v>-1660.5896527999994</v>
      </c>
      <c r="K9" s="3">
        <f t="shared" si="1"/>
        <v>-1664.4811872000009</v>
      </c>
      <c r="L9" s="3">
        <f t="shared" si="1"/>
        <v>-12.713688000001284</v>
      </c>
      <c r="M9" s="3">
        <f t="shared" si="1"/>
        <v>-12.822372000001295</v>
      </c>
      <c r="N9" s="3">
        <f t="shared" si="1"/>
        <v>-12.836394000001292</v>
      </c>
      <c r="O9" s="3">
        <f>SUM(C9:N9)</f>
        <v>-14574.93722919999</v>
      </c>
    </row>
    <row r="10" spans="2:15">
      <c r="B10" s="1" t="s">
        <v>16</v>
      </c>
      <c r="C10" s="3">
        <f>(2.77-2.29)</f>
        <v>0.48</v>
      </c>
      <c r="D10" s="3">
        <f t="shared" ref="D10:N10" si="2">(2.77-2.29)</f>
        <v>0.48</v>
      </c>
      <c r="E10" s="3">
        <f t="shared" si="2"/>
        <v>0.48</v>
      </c>
      <c r="F10" s="3">
        <f t="shared" si="2"/>
        <v>0.48</v>
      </c>
      <c r="G10" s="3">
        <f t="shared" si="2"/>
        <v>0.48</v>
      </c>
      <c r="H10" s="3">
        <f t="shared" si="2"/>
        <v>0.48</v>
      </c>
      <c r="I10" s="3">
        <f t="shared" si="2"/>
        <v>0.48</v>
      </c>
      <c r="J10" s="3">
        <f t="shared" si="2"/>
        <v>0.48</v>
      </c>
      <c r="K10" s="3">
        <f t="shared" si="2"/>
        <v>0.48</v>
      </c>
      <c r="L10" s="3">
        <f t="shared" si="2"/>
        <v>0.48</v>
      </c>
      <c r="M10" s="3">
        <f t="shared" si="2"/>
        <v>0.48</v>
      </c>
      <c r="N10" s="3">
        <f t="shared" si="2"/>
        <v>0.48</v>
      </c>
      <c r="O10" s="3"/>
    </row>
    <row r="11" spans="2:15">
      <c r="B11" s="1" t="s">
        <v>4</v>
      </c>
      <c r="C11" s="3">
        <f t="shared" ref="C11:N11" si="3">C5*C10/12*C7/1000</f>
        <v>12868.546610399999</v>
      </c>
      <c r="D11" s="3">
        <f t="shared" si="3"/>
        <v>15051.279703199998</v>
      </c>
      <c r="E11" s="3">
        <f t="shared" si="3"/>
        <v>15803.847165599998</v>
      </c>
      <c r="F11" s="3">
        <f t="shared" si="3"/>
        <v>16424.557687199998</v>
      </c>
      <c r="G11" s="3">
        <f t="shared" si="3"/>
        <v>16322.512284</v>
      </c>
      <c r="H11" s="3">
        <f t="shared" si="3"/>
        <v>16398.107481599996</v>
      </c>
      <c r="I11" s="3">
        <f t="shared" si="3"/>
        <v>16259.620603199997</v>
      </c>
      <c r="J11" s="3">
        <f t="shared" si="3"/>
        <v>16163.556052799995</v>
      </c>
      <c r="K11" s="3">
        <f t="shared" si="3"/>
        <v>16201.434787199996</v>
      </c>
      <c r="L11" s="3">
        <f t="shared" si="3"/>
        <v>14704.086488000003</v>
      </c>
      <c r="M11" s="3">
        <f t="shared" si="3"/>
        <v>14829.785572000001</v>
      </c>
      <c r="N11" s="3">
        <f t="shared" si="3"/>
        <v>14846.002794</v>
      </c>
      <c r="O11" s="5">
        <f t="shared" ref="O11" si="4">SUM(C11:N11)</f>
        <v>185873.33722919994</v>
      </c>
    </row>
    <row r="13" spans="2:15">
      <c r="B13" s="8" t="s">
        <v>18</v>
      </c>
      <c r="C13" s="8" t="s">
        <v>1</v>
      </c>
      <c r="D13" s="8" t="s">
        <v>2</v>
      </c>
      <c r="E13" s="8" t="s">
        <v>5</v>
      </c>
      <c r="F13" s="8" t="s">
        <v>6</v>
      </c>
      <c r="G13" s="8" t="s">
        <v>7</v>
      </c>
      <c r="H13" s="8" t="s">
        <v>8</v>
      </c>
      <c r="I13" s="8" t="s">
        <v>9</v>
      </c>
      <c r="J13" s="8" t="s">
        <v>10</v>
      </c>
      <c r="K13" s="8" t="s">
        <v>11</v>
      </c>
      <c r="L13" s="8" t="s">
        <v>12</v>
      </c>
      <c r="M13" s="8" t="s">
        <v>13</v>
      </c>
      <c r="N13" s="8" t="s">
        <v>14</v>
      </c>
      <c r="O13" s="8" t="s">
        <v>15</v>
      </c>
    </row>
    <row r="14" spans="2:15">
      <c r="B14" s="1" t="s">
        <v>3</v>
      </c>
      <c r="C14" s="4">
        <v>728620</v>
      </c>
      <c r="D14" s="4">
        <v>727378</v>
      </c>
      <c r="E14" s="4">
        <v>724998</v>
      </c>
      <c r="F14" s="4">
        <v>725525</v>
      </c>
      <c r="G14" s="4">
        <v>722799</v>
      </c>
      <c r="H14" s="4">
        <v>723226</v>
      </c>
      <c r="I14" s="4">
        <v>724161</v>
      </c>
      <c r="J14" s="4">
        <v>723245</v>
      </c>
      <c r="K14" s="4">
        <v>722807</v>
      </c>
      <c r="L14" s="4">
        <v>721800</v>
      </c>
      <c r="M14" s="4">
        <v>720745</v>
      </c>
      <c r="N14" s="4">
        <v>717595</v>
      </c>
      <c r="O14" s="4"/>
    </row>
    <row r="15" spans="2:15">
      <c r="B15" s="1" t="s">
        <v>20</v>
      </c>
      <c r="C15" s="4">
        <v>520</v>
      </c>
      <c r="D15" s="4">
        <v>520</v>
      </c>
      <c r="E15" s="4">
        <v>520</v>
      </c>
      <c r="F15" s="4">
        <v>520</v>
      </c>
      <c r="G15" s="4">
        <v>520</v>
      </c>
      <c r="H15" s="4">
        <v>520</v>
      </c>
      <c r="I15" s="3">
        <v>535.6</v>
      </c>
      <c r="J15" s="3">
        <v>535.6</v>
      </c>
      <c r="K15" s="3">
        <v>535.6</v>
      </c>
      <c r="L15" s="3">
        <v>535.6</v>
      </c>
      <c r="M15" s="3">
        <v>535.6</v>
      </c>
      <c r="N15" s="3">
        <v>535.6</v>
      </c>
      <c r="O15" s="4"/>
    </row>
    <row r="16" spans="2:15">
      <c r="B16" s="1" t="s">
        <v>17</v>
      </c>
      <c r="C16" s="3">
        <v>520.45000000000005</v>
      </c>
      <c r="D16" s="3">
        <v>520.45000000000005</v>
      </c>
      <c r="E16" s="3">
        <v>520.45000000000005</v>
      </c>
      <c r="F16" s="3">
        <v>520.45000000000005</v>
      </c>
      <c r="G16" s="3">
        <v>520.45000000000005</v>
      </c>
      <c r="H16" s="3">
        <v>520.45000000000005</v>
      </c>
      <c r="I16" s="3">
        <v>653.49</v>
      </c>
      <c r="J16" s="3">
        <v>653.49</v>
      </c>
      <c r="K16" s="3">
        <v>653.49</v>
      </c>
      <c r="L16" s="3">
        <v>653.49</v>
      </c>
      <c r="M16" s="3">
        <v>653.49</v>
      </c>
      <c r="N16" s="3">
        <v>653.49</v>
      </c>
      <c r="O16" s="3"/>
    </row>
    <row r="17" spans="2:15">
      <c r="B17" s="1" t="s">
        <v>33</v>
      </c>
      <c r="C17" s="3">
        <f>C14*2.29/365*12*C15/1000+C14*2.29/365*19*C15/1000-C14*2.77/365*12*C15/1000-C14*2.38/365*19*C15/1000</f>
        <v>-7754.1137753424628</v>
      </c>
      <c r="D17" s="3">
        <f>D14*2.29/12*D15/1000-D14*2.38/12*D15/1000</f>
        <v>-2836.7741999999707</v>
      </c>
      <c r="E17" s="3">
        <f t="shared" ref="E17:J17" si="5">E14*2.29/12*E15/1000-E14*2.38/12*E15/1000</f>
        <v>-2827.4921999999933</v>
      </c>
      <c r="F17" s="3">
        <f t="shared" si="5"/>
        <v>-2829.5475000000006</v>
      </c>
      <c r="G17" s="3">
        <f t="shared" si="5"/>
        <v>-2818.9161000000022</v>
      </c>
      <c r="H17" s="3">
        <f t="shared" si="5"/>
        <v>-2820.5813999999955</v>
      </c>
      <c r="I17" s="3">
        <f t="shared" si="5"/>
        <v>-2908.9547370000073</v>
      </c>
      <c r="J17" s="3">
        <f t="shared" si="5"/>
        <v>-2905.27516499997</v>
      </c>
      <c r="K17" s="3">
        <f>K14*2.29/365*7*K15/1000-K14*2.38/365*7*K15/1000</f>
        <v>-668.20635724931344</v>
      </c>
      <c r="L17" s="4"/>
      <c r="M17" s="4"/>
      <c r="N17" s="4"/>
      <c r="O17" s="3">
        <f>SUM(C17:N17)</f>
        <v>-28369.861434591716</v>
      </c>
    </row>
    <row r="18" spans="2:15">
      <c r="B18" s="1" t="s">
        <v>34</v>
      </c>
      <c r="C18" s="3">
        <f>C14*2.29/365*12*(C16-C15)/1000+C14*2.29/365*19*(C16-C15)/1000-C14*2.77/365*12*(C16-C15)/1000-C14*2.38/365*19*(C16-C15)/1000</f>
        <v>-6.7102907671239578</v>
      </c>
      <c r="D18" s="3">
        <f t="shared" ref="D18:J18" si="6">D14*2.29/12*(D16-D15)/1000-D14*2.38/12*(D16-D15)/1000</f>
        <v>-2.4549007500002276</v>
      </c>
      <c r="E18" s="3">
        <f t="shared" si="6"/>
        <v>-2.4468682500002359</v>
      </c>
      <c r="F18" s="3">
        <f t="shared" si="6"/>
        <v>-2.4486468750002501</v>
      </c>
      <c r="G18" s="3">
        <f t="shared" si="6"/>
        <v>-2.4394466250002438</v>
      </c>
      <c r="H18" s="3">
        <f t="shared" si="6"/>
        <v>-2.4408877500002575</v>
      </c>
      <c r="I18" s="3">
        <f t="shared" si="6"/>
        <v>-640.2850521750006</v>
      </c>
      <c r="J18" s="3">
        <f t="shared" si="6"/>
        <v>-639.47514787499676</v>
      </c>
      <c r="K18" s="3">
        <f>K14*2.29/365*7*(K16-K15)/1000-K14*2.38/365*7*(K16-K15)/1000</f>
        <v>-147.07775850657436</v>
      </c>
      <c r="L18" s="3"/>
      <c r="M18" s="3"/>
      <c r="N18" s="3"/>
      <c r="O18" s="3">
        <f>SUM(C18:N18)</f>
        <v>-1445.7789995736969</v>
      </c>
    </row>
    <row r="19" spans="2:15">
      <c r="B19" s="1" t="s">
        <v>16</v>
      </c>
      <c r="C19" s="3"/>
      <c r="D19" s="3">
        <f>2.38-2.29</f>
        <v>8.9999999999999858E-2</v>
      </c>
      <c r="E19" s="3">
        <f t="shared" ref="E19:I19" si="7">2.38-2.29</f>
        <v>8.9999999999999858E-2</v>
      </c>
      <c r="F19" s="3">
        <f t="shared" si="7"/>
        <v>8.9999999999999858E-2</v>
      </c>
      <c r="G19" s="3">
        <f t="shared" si="7"/>
        <v>8.9999999999999858E-2</v>
      </c>
      <c r="H19" s="3">
        <f t="shared" si="7"/>
        <v>8.9999999999999858E-2</v>
      </c>
      <c r="I19" s="3">
        <f t="shared" si="7"/>
        <v>8.9999999999999858E-2</v>
      </c>
      <c r="J19" s="3">
        <f>2.38-2.29</f>
        <v>8.9999999999999858E-2</v>
      </c>
      <c r="K19" s="3"/>
      <c r="L19" s="3"/>
      <c r="M19" s="3"/>
      <c r="N19" s="3"/>
      <c r="O19" s="3"/>
    </row>
    <row r="20" spans="2:15">
      <c r="B20" s="1" t="s">
        <v>4</v>
      </c>
      <c r="C20" s="3">
        <f>C14*(2.77-2.29)/365*12*C16/1000+C14*(2.38-2.29)/365*19*C16/1000</f>
        <v>7760.824066109587</v>
      </c>
      <c r="D20" s="3">
        <f t="shared" ref="D20:J20" si="8">D14*D19/12*D16/1000</f>
        <v>2839.2291007499957</v>
      </c>
      <c r="E20" s="3">
        <f t="shared" si="8"/>
        <v>2829.9390682499957</v>
      </c>
      <c r="F20" s="3">
        <f t="shared" si="8"/>
        <v>2831.9961468749957</v>
      </c>
      <c r="G20" s="3">
        <f t="shared" si="8"/>
        <v>2821.3555466249959</v>
      </c>
      <c r="H20" s="3">
        <f t="shared" si="8"/>
        <v>2823.0222877499959</v>
      </c>
      <c r="I20" s="3">
        <f t="shared" si="8"/>
        <v>3549.2397891749943</v>
      </c>
      <c r="J20" s="3">
        <f t="shared" si="8"/>
        <v>3544.7503128749941</v>
      </c>
      <c r="K20" s="3">
        <f>K14*(2.38-2.29)/365*7*K16/1000</f>
        <v>815.28411575588905</v>
      </c>
      <c r="L20" s="3">
        <f>L14*L19/12*L16/1000</f>
        <v>0</v>
      </c>
      <c r="M20" s="3">
        <f>M14*M19/12*M16/1000</f>
        <v>0</v>
      </c>
      <c r="N20" s="3">
        <f>N14*N19/12*N16/1000</f>
        <v>0</v>
      </c>
      <c r="O20" s="5">
        <f t="shared" ref="O20" si="9">SUM(C20:N20)</f>
        <v>29815.640434165445</v>
      </c>
    </row>
    <row r="22" spans="2:15">
      <c r="B22" s="9" t="s">
        <v>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0">
        <f>O20+O11</f>
        <v>215688.9776633654</v>
      </c>
    </row>
    <row r="24" spans="2:15">
      <c r="C24" s="6">
        <v>44209</v>
      </c>
      <c r="E24" s="6">
        <v>44209</v>
      </c>
    </row>
    <row r="25" spans="2:15">
      <c r="C25" s="6">
        <v>44377</v>
      </c>
      <c r="E25" s="6">
        <v>44227</v>
      </c>
    </row>
    <row r="26" spans="2:15">
      <c r="C26" s="1">
        <f>C25-C24+1</f>
        <v>169</v>
      </c>
      <c r="E26" s="1">
        <f>E25-E24+1</f>
        <v>19</v>
      </c>
    </row>
    <row r="28" spans="2:15">
      <c r="C28" s="6">
        <v>44447</v>
      </c>
    </row>
    <row r="29" spans="2:15">
      <c r="C29" s="6">
        <v>44561</v>
      </c>
    </row>
    <row r="30" spans="2:15">
      <c r="C30" s="1">
        <f>C29-C28+1</f>
        <v>115</v>
      </c>
    </row>
  </sheetData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2"/>
  <sheetViews>
    <sheetView tabSelected="1" view="pageBreakPreview" zoomScale="70" zoomScaleNormal="40" zoomScaleSheetLayoutView="70" workbookViewId="0">
      <selection activeCell="C23" sqref="C23"/>
    </sheetView>
  </sheetViews>
  <sheetFormatPr defaultRowHeight="15.75"/>
  <cols>
    <col min="1" max="1" width="7.7109375" style="16" customWidth="1"/>
    <col min="2" max="2" width="5.28515625" style="16" customWidth="1"/>
    <col min="3" max="3" width="11" style="16" customWidth="1"/>
    <col min="4" max="4" width="29" style="16" customWidth="1"/>
    <col min="5" max="5" width="32.140625" style="16" customWidth="1"/>
    <col min="6" max="6" width="31.7109375" style="16" customWidth="1"/>
    <col min="7" max="7" width="32" style="16" customWidth="1"/>
    <col min="8" max="8" width="19.85546875" style="16" customWidth="1"/>
    <col min="9" max="9" width="18.85546875" style="16" customWidth="1"/>
    <col min="10" max="10" width="25.85546875" style="16" customWidth="1"/>
    <col min="11" max="11" width="13.42578125" style="16" bestFit="1" customWidth="1"/>
    <col min="12" max="16384" width="9.140625" style="16"/>
  </cols>
  <sheetData>
    <row r="2" spans="1:11" ht="67.5" customHeight="1">
      <c r="B2" s="53" t="s">
        <v>68</v>
      </c>
      <c r="C2" s="53"/>
      <c r="D2" s="53"/>
      <c r="E2" s="53"/>
      <c r="F2" s="53"/>
      <c r="G2" s="53"/>
      <c r="H2" s="53"/>
      <c r="I2" s="53"/>
      <c r="J2" s="53"/>
    </row>
    <row r="3" spans="1:11">
      <c r="C3" s="15"/>
    </row>
    <row r="4" spans="1:11" s="22" customFormat="1" ht="18.75">
      <c r="B4" s="45" t="s">
        <v>54</v>
      </c>
      <c r="C4" s="46"/>
      <c r="D4" s="45" t="s">
        <v>52</v>
      </c>
      <c r="E4" s="47" t="s">
        <v>65</v>
      </c>
      <c r="F4" s="47" t="s">
        <v>66</v>
      </c>
      <c r="G4" s="47" t="s">
        <v>67</v>
      </c>
      <c r="H4" s="45" t="s">
        <v>53</v>
      </c>
      <c r="I4" s="45"/>
      <c r="J4" s="46"/>
    </row>
    <row r="5" spans="1:11" ht="357.75" customHeight="1">
      <c r="A5" s="49" t="s">
        <v>69</v>
      </c>
      <c r="B5" s="33"/>
      <c r="C5" s="33"/>
      <c r="D5" s="34" t="s">
        <v>60</v>
      </c>
      <c r="E5" s="34" t="s">
        <v>61</v>
      </c>
      <c r="F5" s="34"/>
      <c r="G5" s="34" t="s">
        <v>35</v>
      </c>
      <c r="H5" s="35" t="s">
        <v>59</v>
      </c>
      <c r="I5" s="35" t="s">
        <v>58</v>
      </c>
      <c r="J5" s="34" t="s">
        <v>63</v>
      </c>
    </row>
    <row r="6" spans="1:11">
      <c r="A6" s="51">
        <v>2020</v>
      </c>
      <c r="B6" s="36">
        <v>1</v>
      </c>
      <c r="C6" s="33" t="s">
        <v>36</v>
      </c>
      <c r="D6" s="37">
        <v>555119</v>
      </c>
      <c r="E6" s="50">
        <v>2.77</v>
      </c>
      <c r="F6" s="50"/>
      <c r="G6" s="50">
        <v>2.29</v>
      </c>
      <c r="H6" s="50">
        <v>579.54</v>
      </c>
      <c r="I6" s="50"/>
      <c r="J6" s="38">
        <f>D6*(E6-G6)/12*H6</f>
        <v>12868546.610399999</v>
      </c>
      <c r="K6" s="18"/>
    </row>
    <row r="7" spans="1:11">
      <c r="A7" s="51"/>
      <c r="B7" s="36">
        <v>2</v>
      </c>
      <c r="C7" s="33" t="s">
        <v>37</v>
      </c>
      <c r="D7" s="37">
        <v>649277</v>
      </c>
      <c r="E7" s="50"/>
      <c r="F7" s="50"/>
      <c r="G7" s="50"/>
      <c r="H7" s="50"/>
      <c r="I7" s="50"/>
      <c r="J7" s="38">
        <f>D7*(E6-G6)/12*H6</f>
        <v>15051279.703199998</v>
      </c>
    </row>
    <row r="8" spans="1:11">
      <c r="A8" s="51"/>
      <c r="B8" s="36">
        <v>3</v>
      </c>
      <c r="C8" s="33" t="s">
        <v>38</v>
      </c>
      <c r="D8" s="37">
        <v>681741</v>
      </c>
      <c r="E8" s="50"/>
      <c r="F8" s="50"/>
      <c r="G8" s="50"/>
      <c r="H8" s="50"/>
      <c r="I8" s="50"/>
      <c r="J8" s="38">
        <f>D8*(E6-G6)/12*H6</f>
        <v>15803847.165599998</v>
      </c>
    </row>
    <row r="9" spans="1:11">
      <c r="A9" s="51"/>
      <c r="B9" s="36">
        <v>4</v>
      </c>
      <c r="C9" s="33" t="s">
        <v>39</v>
      </c>
      <c r="D9" s="37">
        <v>708517</v>
      </c>
      <c r="E9" s="50"/>
      <c r="F9" s="50"/>
      <c r="G9" s="50"/>
      <c r="H9" s="50"/>
      <c r="I9" s="50"/>
      <c r="J9" s="38">
        <f>D9*(E6-G6)/12*H6</f>
        <v>16424557.687199997</v>
      </c>
    </row>
    <row r="10" spans="1:11">
      <c r="A10" s="51"/>
      <c r="B10" s="36">
        <v>5</v>
      </c>
      <c r="C10" s="33" t="s">
        <v>40</v>
      </c>
      <c r="D10" s="37">
        <v>704115</v>
      </c>
      <c r="E10" s="50"/>
      <c r="F10" s="50"/>
      <c r="G10" s="50"/>
      <c r="H10" s="50"/>
      <c r="I10" s="50"/>
      <c r="J10" s="38">
        <f>D10*(E6-G6)/12*H6</f>
        <v>16322512.284</v>
      </c>
    </row>
    <row r="11" spans="1:11">
      <c r="A11" s="51"/>
      <c r="B11" s="36">
        <v>6</v>
      </c>
      <c r="C11" s="33" t="s">
        <v>41</v>
      </c>
      <c r="D11" s="37">
        <v>707376</v>
      </c>
      <c r="E11" s="50"/>
      <c r="F11" s="50"/>
      <c r="G11" s="50"/>
      <c r="H11" s="50"/>
      <c r="I11" s="50"/>
      <c r="J11" s="38">
        <f>D11*(E6-G6)/12*H6</f>
        <v>16398107.481599998</v>
      </c>
    </row>
    <row r="12" spans="1:11">
      <c r="A12" s="51"/>
      <c r="B12" s="36">
        <v>7</v>
      </c>
      <c r="C12" s="33" t="s">
        <v>42</v>
      </c>
      <c r="D12" s="37">
        <v>701402</v>
      </c>
      <c r="E12" s="50"/>
      <c r="F12" s="50"/>
      <c r="G12" s="50"/>
      <c r="H12" s="50"/>
      <c r="I12" s="50"/>
      <c r="J12" s="38">
        <f>D12*(E6-G6)/12*H6</f>
        <v>16259620.603199998</v>
      </c>
    </row>
    <row r="13" spans="1:11">
      <c r="A13" s="51"/>
      <c r="B13" s="36">
        <v>8</v>
      </c>
      <c r="C13" s="33" t="s">
        <v>43</v>
      </c>
      <c r="D13" s="37">
        <v>697258</v>
      </c>
      <c r="E13" s="50"/>
      <c r="F13" s="50"/>
      <c r="G13" s="50"/>
      <c r="H13" s="50"/>
      <c r="I13" s="50"/>
      <c r="J13" s="38">
        <f>D13*(E6-G6)/12*H6</f>
        <v>16163556.052799996</v>
      </c>
    </row>
    <row r="14" spans="1:11">
      <c r="A14" s="51"/>
      <c r="B14" s="36">
        <v>9</v>
      </c>
      <c r="C14" s="33" t="s">
        <v>44</v>
      </c>
      <c r="D14" s="37">
        <v>698892</v>
      </c>
      <c r="E14" s="50"/>
      <c r="F14" s="50"/>
      <c r="G14" s="50"/>
      <c r="H14" s="50"/>
      <c r="I14" s="50"/>
      <c r="J14" s="38">
        <f>D14*(E6-G6)/12*H6</f>
        <v>16201434.787199996</v>
      </c>
    </row>
    <row r="15" spans="1:11">
      <c r="A15" s="51"/>
      <c r="B15" s="36">
        <v>10</v>
      </c>
      <c r="C15" s="33" t="s">
        <v>45</v>
      </c>
      <c r="D15" s="37">
        <v>706316</v>
      </c>
      <c r="E15" s="50"/>
      <c r="F15" s="50"/>
      <c r="G15" s="50"/>
      <c r="H15" s="55"/>
      <c r="I15" s="50">
        <v>520.45000000000005</v>
      </c>
      <c r="J15" s="38">
        <f>D15*(E6-G6)/12*I15</f>
        <v>14704086.488000002</v>
      </c>
    </row>
    <row r="16" spans="1:11">
      <c r="A16" s="51"/>
      <c r="B16" s="36">
        <v>11</v>
      </c>
      <c r="C16" s="33" t="s">
        <v>46</v>
      </c>
      <c r="D16" s="37">
        <v>712354</v>
      </c>
      <c r="E16" s="50"/>
      <c r="F16" s="50"/>
      <c r="G16" s="50"/>
      <c r="H16" s="55"/>
      <c r="I16" s="50"/>
      <c r="J16" s="38">
        <f>D16*(E6-G6)/12*I15</f>
        <v>14829785.572000001</v>
      </c>
    </row>
    <row r="17" spans="1:12">
      <c r="A17" s="51"/>
      <c r="B17" s="36">
        <v>12</v>
      </c>
      <c r="C17" s="33" t="s">
        <v>47</v>
      </c>
      <c r="D17" s="37">
        <v>713133</v>
      </c>
      <c r="E17" s="50"/>
      <c r="F17" s="50"/>
      <c r="G17" s="50"/>
      <c r="H17" s="55"/>
      <c r="I17" s="50"/>
      <c r="J17" s="38">
        <f>D17*(E6-G6)/12*I15</f>
        <v>14846002.794</v>
      </c>
    </row>
    <row r="18" spans="1:12">
      <c r="A18" s="17"/>
      <c r="B18" s="17"/>
      <c r="C18" s="52"/>
      <c r="D18" s="52"/>
      <c r="E18" s="52"/>
      <c r="F18" s="52"/>
      <c r="G18" s="52"/>
      <c r="H18" s="52"/>
      <c r="I18" s="19"/>
    </row>
    <row r="19" spans="1:12">
      <c r="A19" s="17"/>
      <c r="B19" s="17"/>
      <c r="C19" s="52" t="s">
        <v>48</v>
      </c>
      <c r="D19" s="52"/>
      <c r="E19" s="52"/>
      <c r="F19" s="52"/>
      <c r="G19" s="52"/>
      <c r="H19" s="52"/>
      <c r="I19" s="52"/>
      <c r="J19" s="20">
        <f>SUM(J6:J17)</f>
        <v>185873337.22919998</v>
      </c>
    </row>
    <row r="20" spans="1:12">
      <c r="A20" s="31"/>
      <c r="B20" s="31"/>
      <c r="C20" s="30"/>
      <c r="D20" s="30"/>
      <c r="E20" s="30"/>
      <c r="F20" s="30"/>
      <c r="G20" s="30"/>
      <c r="H20" s="30"/>
      <c r="I20" s="30"/>
      <c r="J20" s="20"/>
    </row>
    <row r="21" spans="1:12">
      <c r="A21" s="31"/>
      <c r="B21" s="31"/>
      <c r="C21" s="30"/>
      <c r="D21" s="30"/>
      <c r="E21" s="30"/>
      <c r="F21" s="30"/>
      <c r="G21" s="30"/>
      <c r="H21" s="30"/>
      <c r="I21" s="30"/>
      <c r="J21" s="20"/>
    </row>
    <row r="22" spans="1:12" s="22" customFormat="1" ht="18.75">
      <c r="A22" s="32"/>
      <c r="B22" s="45" t="s">
        <v>54</v>
      </c>
      <c r="C22" s="46"/>
      <c r="D22" s="45" t="s">
        <v>52</v>
      </c>
      <c r="E22" s="47" t="s">
        <v>65</v>
      </c>
      <c r="F22" s="47" t="s">
        <v>66</v>
      </c>
      <c r="G22" s="47" t="s">
        <v>67</v>
      </c>
      <c r="H22" s="45" t="s">
        <v>53</v>
      </c>
      <c r="I22" s="45"/>
      <c r="J22" s="46"/>
    </row>
    <row r="23" spans="1:12" ht="342.75" customHeight="1">
      <c r="A23" s="48" t="s">
        <v>69</v>
      </c>
      <c r="B23" s="36"/>
      <c r="C23" s="33"/>
      <c r="D23" s="34" t="s">
        <v>62</v>
      </c>
      <c r="E23" s="34" t="s">
        <v>64</v>
      </c>
      <c r="F23" s="34" t="s">
        <v>49</v>
      </c>
      <c r="G23" s="34" t="s">
        <v>35</v>
      </c>
      <c r="H23" s="34" t="s">
        <v>57</v>
      </c>
      <c r="I23" s="35" t="s">
        <v>56</v>
      </c>
      <c r="J23" s="34" t="s">
        <v>63</v>
      </c>
    </row>
    <row r="24" spans="1:12" s="23" customFormat="1" ht="31.5">
      <c r="A24" s="50">
        <v>2021</v>
      </c>
      <c r="B24" s="34">
        <v>1</v>
      </c>
      <c r="C24" s="39" t="s">
        <v>50</v>
      </c>
      <c r="D24" s="37">
        <v>728620</v>
      </c>
      <c r="E24" s="34">
        <v>2.77</v>
      </c>
      <c r="F24" s="50">
        <v>2.38</v>
      </c>
      <c r="G24" s="50">
        <v>2.29</v>
      </c>
      <c r="H24" s="50"/>
      <c r="I24" s="50">
        <v>520.45000000000005</v>
      </c>
      <c r="J24" s="40">
        <f>D24*(E24-G24)/365*12*I24</f>
        <v>5984249.8823013706</v>
      </c>
      <c r="K24" s="21"/>
      <c r="L24" s="22"/>
    </row>
    <row r="25" spans="1:12" ht="31.5">
      <c r="A25" s="50"/>
      <c r="B25" s="34">
        <v>1</v>
      </c>
      <c r="C25" s="39" t="s">
        <v>55</v>
      </c>
      <c r="D25" s="37">
        <v>728620</v>
      </c>
      <c r="E25" s="50"/>
      <c r="F25" s="50"/>
      <c r="G25" s="50"/>
      <c r="H25" s="50"/>
      <c r="I25" s="50"/>
      <c r="J25" s="38">
        <f>D25*(F24-G24)/365*19*I24</f>
        <v>1776574.1838082168</v>
      </c>
      <c r="K25" s="21"/>
      <c r="L25" s="22"/>
    </row>
    <row r="26" spans="1:12">
      <c r="A26" s="50"/>
      <c r="B26" s="34">
        <v>2</v>
      </c>
      <c r="C26" s="41" t="s">
        <v>37</v>
      </c>
      <c r="D26" s="37">
        <v>727378</v>
      </c>
      <c r="E26" s="50"/>
      <c r="F26" s="50"/>
      <c r="G26" s="50"/>
      <c r="H26" s="50"/>
      <c r="I26" s="50"/>
      <c r="J26" s="38">
        <f>D26*(F24-G24)/12*I24</f>
        <v>2839229.1007499956</v>
      </c>
      <c r="K26" s="22"/>
      <c r="L26" s="22"/>
    </row>
    <row r="27" spans="1:12">
      <c r="A27" s="50"/>
      <c r="B27" s="34">
        <v>3</v>
      </c>
      <c r="C27" s="41" t="s">
        <v>38</v>
      </c>
      <c r="D27" s="37">
        <v>725158</v>
      </c>
      <c r="E27" s="50"/>
      <c r="F27" s="50"/>
      <c r="G27" s="50"/>
      <c r="H27" s="50"/>
      <c r="I27" s="50"/>
      <c r="J27" s="38">
        <f>D27*(F24-G24)/12*I24</f>
        <v>2830563.6082499959</v>
      </c>
    </row>
    <row r="28" spans="1:12">
      <c r="A28" s="50"/>
      <c r="B28" s="34">
        <v>4</v>
      </c>
      <c r="C28" s="41" t="s">
        <v>39</v>
      </c>
      <c r="D28" s="37">
        <v>725685</v>
      </c>
      <c r="E28" s="50"/>
      <c r="F28" s="50"/>
      <c r="G28" s="50"/>
      <c r="H28" s="50"/>
      <c r="I28" s="50"/>
      <c r="J28" s="38">
        <f>D28*(F24-G24)/12*I24</f>
        <v>2832620.6868749959</v>
      </c>
    </row>
    <row r="29" spans="1:12">
      <c r="A29" s="50"/>
      <c r="B29" s="34">
        <v>5</v>
      </c>
      <c r="C29" s="41" t="s">
        <v>40</v>
      </c>
      <c r="D29" s="37">
        <v>722959</v>
      </c>
      <c r="E29" s="50"/>
      <c r="F29" s="50"/>
      <c r="G29" s="50"/>
      <c r="H29" s="50"/>
      <c r="I29" s="50"/>
      <c r="J29" s="38">
        <f>D29*(F24-G24)/12*I24</f>
        <v>2821980.0866249953</v>
      </c>
    </row>
    <row r="30" spans="1:12">
      <c r="A30" s="50"/>
      <c r="B30" s="34">
        <v>6</v>
      </c>
      <c r="C30" s="41" t="s">
        <v>41</v>
      </c>
      <c r="D30" s="37">
        <v>723226</v>
      </c>
      <c r="E30" s="50"/>
      <c r="F30" s="50"/>
      <c r="G30" s="50"/>
      <c r="H30" s="50"/>
      <c r="I30" s="50"/>
      <c r="J30" s="38">
        <f>D30*(F24-G24)/12*I24</f>
        <v>2823022.2877499959</v>
      </c>
    </row>
    <row r="31" spans="1:12">
      <c r="A31" s="50"/>
      <c r="B31" s="34">
        <v>7</v>
      </c>
      <c r="C31" s="41" t="s">
        <v>42</v>
      </c>
      <c r="D31" s="37">
        <v>724187</v>
      </c>
      <c r="E31" s="50"/>
      <c r="F31" s="50"/>
      <c r="G31" s="50"/>
      <c r="H31" s="50">
        <v>653.49</v>
      </c>
      <c r="I31" s="50"/>
      <c r="J31" s="38">
        <f>D31*(F24-G24)/12*H31</f>
        <v>3549367.2197249946</v>
      </c>
    </row>
    <row r="32" spans="1:12">
      <c r="A32" s="50"/>
      <c r="B32" s="34">
        <v>8</v>
      </c>
      <c r="C32" s="41" t="s">
        <v>43</v>
      </c>
      <c r="D32" s="37">
        <v>723377</v>
      </c>
      <c r="E32" s="50"/>
      <c r="F32" s="50"/>
      <c r="G32" s="50"/>
      <c r="H32" s="50"/>
      <c r="I32" s="50"/>
      <c r="J32" s="38">
        <f>D32*(F24-G24)/12*H31</f>
        <v>3545397.2679749941</v>
      </c>
    </row>
    <row r="33" spans="1:10" ht="39.75" customHeight="1">
      <c r="A33" s="50"/>
      <c r="B33" s="34">
        <v>9</v>
      </c>
      <c r="C33" s="39" t="s">
        <v>51</v>
      </c>
      <c r="D33" s="37">
        <v>722895</v>
      </c>
      <c r="E33" s="50"/>
      <c r="F33" s="50"/>
      <c r="G33" s="50"/>
      <c r="H33" s="50"/>
      <c r="I33" s="50"/>
      <c r="J33" s="38">
        <f>D33*(F24-G24)/365*7*H31</f>
        <v>815383.3746205467</v>
      </c>
    </row>
    <row r="34" spans="1:10">
      <c r="B34" s="42"/>
      <c r="C34" s="42"/>
      <c r="D34" s="43"/>
      <c r="E34" s="42"/>
      <c r="F34" s="42"/>
      <c r="G34" s="42"/>
      <c r="H34" s="42"/>
      <c r="I34" s="42"/>
      <c r="J34" s="42"/>
    </row>
    <row r="35" spans="1:10">
      <c r="B35" s="42"/>
      <c r="C35" s="54" t="s">
        <v>48</v>
      </c>
      <c r="D35" s="54"/>
      <c r="E35" s="54"/>
      <c r="F35" s="54"/>
      <c r="G35" s="54"/>
      <c r="H35" s="54"/>
      <c r="I35" s="54"/>
      <c r="J35" s="44">
        <f>SUM(J24:J33)</f>
        <v>29818387.698680099</v>
      </c>
    </row>
    <row r="37" spans="1:10" ht="20.25">
      <c r="D37" s="24"/>
      <c r="I37" s="28" t="s">
        <v>48</v>
      </c>
      <c r="J37" s="29">
        <f>J19+J35</f>
        <v>215691724.92788008</v>
      </c>
    </row>
    <row r="38" spans="1:10" ht="20.25">
      <c r="D38" s="24"/>
      <c r="I38" s="28"/>
      <c r="J38" s="29"/>
    </row>
    <row r="39" spans="1:10" ht="20.25">
      <c r="D39" s="24"/>
      <c r="I39" s="28"/>
      <c r="J39" s="29"/>
    </row>
    <row r="40" spans="1:10">
      <c r="D40" s="25"/>
      <c r="E40" s="26"/>
      <c r="F40" s="26"/>
      <c r="G40" s="22"/>
      <c r="H40" s="22"/>
      <c r="I40" s="22"/>
      <c r="J40" s="22"/>
    </row>
    <row r="42" spans="1:10">
      <c r="D42" s="27"/>
    </row>
  </sheetData>
  <mergeCells count="20">
    <mergeCell ref="B2:J2"/>
    <mergeCell ref="C35:I35"/>
    <mergeCell ref="I15:I17"/>
    <mergeCell ref="F6:F17"/>
    <mergeCell ref="H15:H17"/>
    <mergeCell ref="I6:I14"/>
    <mergeCell ref="I24:I30"/>
    <mergeCell ref="I31:I33"/>
    <mergeCell ref="H31:H33"/>
    <mergeCell ref="H24:H30"/>
    <mergeCell ref="E25:E33"/>
    <mergeCell ref="C18:H18"/>
    <mergeCell ref="G24:G33"/>
    <mergeCell ref="F24:F33"/>
    <mergeCell ref="A6:A17"/>
    <mergeCell ref="H6:H14"/>
    <mergeCell ref="E6:E17"/>
    <mergeCell ref="G6:G17"/>
    <mergeCell ref="C19:I19"/>
    <mergeCell ref="A24:A33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&amp;C&amp;P</oddFooter>
  </headerFooter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2:O28"/>
  <sheetViews>
    <sheetView topLeftCell="A7" workbookViewId="0">
      <selection activeCell="C15" sqref="C15"/>
    </sheetView>
  </sheetViews>
  <sheetFormatPr defaultRowHeight="16.5"/>
  <cols>
    <col min="1" max="1" width="9.140625" style="1"/>
    <col min="2" max="2" width="35.140625" style="1" customWidth="1"/>
    <col min="3" max="3" width="12" style="1" bestFit="1" customWidth="1"/>
    <col min="4" max="4" width="9.85546875" style="1" bestFit="1" customWidth="1"/>
    <col min="5" max="14" width="9.140625" style="1"/>
    <col min="15" max="15" width="10.42578125" style="1" bestFit="1" customWidth="1"/>
    <col min="16" max="16384" width="9.140625" style="1"/>
  </cols>
  <sheetData>
    <row r="2" spans="2:15">
      <c r="B2" s="58"/>
      <c r="C2" s="57">
        <v>2020</v>
      </c>
      <c r="D2" s="56">
        <v>2021</v>
      </c>
      <c r="E2" s="56"/>
      <c r="F2" s="11"/>
    </row>
    <row r="3" spans="2:15">
      <c r="B3" s="58"/>
      <c r="C3" s="57"/>
      <c r="D3" s="12" t="s">
        <v>25</v>
      </c>
      <c r="E3" s="11" t="s">
        <v>26</v>
      </c>
      <c r="F3" s="11"/>
    </row>
    <row r="4" spans="2:15">
      <c r="B4" s="1" t="s">
        <v>21</v>
      </c>
      <c r="C4" s="13">
        <v>686.07587734420702</v>
      </c>
      <c r="D4" s="13">
        <v>705.59131445966204</v>
      </c>
      <c r="E4" s="13">
        <v>705.59131445966204</v>
      </c>
    </row>
    <row r="5" spans="2:15">
      <c r="B5" s="1" t="s">
        <v>20</v>
      </c>
      <c r="C5" s="13">
        <v>520</v>
      </c>
      <c r="D5" s="13">
        <v>520</v>
      </c>
      <c r="E5" s="13">
        <v>535.6</v>
      </c>
    </row>
    <row r="6" spans="2:15">
      <c r="B6" s="1" t="s">
        <v>27</v>
      </c>
      <c r="C6" s="13">
        <f>C4-C5</f>
        <v>166.07587734420702</v>
      </c>
      <c r="D6" s="13">
        <f t="shared" ref="D6:E6" si="0">D4-D5</f>
        <v>185.59131445966204</v>
      </c>
      <c r="E6" s="13">
        <f t="shared" si="0"/>
        <v>169.99131445966202</v>
      </c>
    </row>
    <row r="8" spans="2:15">
      <c r="B8" s="1" t="s">
        <v>24</v>
      </c>
      <c r="C8" s="1" t="s">
        <v>1</v>
      </c>
      <c r="D8" s="1" t="s">
        <v>2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" t="s">
        <v>10</v>
      </c>
      <c r="K8" s="1" t="s">
        <v>11</v>
      </c>
      <c r="L8" s="1" t="s">
        <v>12</v>
      </c>
      <c r="M8" s="1" t="s">
        <v>13</v>
      </c>
      <c r="N8" s="1" t="s">
        <v>14</v>
      </c>
      <c r="O8" s="1" t="s">
        <v>15</v>
      </c>
    </row>
    <row r="9" spans="2:15">
      <c r="B9" s="1" t="s">
        <v>22</v>
      </c>
      <c r="C9" s="3">
        <v>111.36854666666665</v>
      </c>
      <c r="D9" s="3">
        <v>131.77116916666665</v>
      </c>
      <c r="E9" s="3">
        <v>141.3044175</v>
      </c>
      <c r="F9" s="3">
        <v>151.42777083333334</v>
      </c>
      <c r="G9" s="3">
        <v>157.11727333333332</v>
      </c>
      <c r="H9" s="3">
        <v>158.21156499999998</v>
      </c>
      <c r="I9" s="3">
        <v>162.09490994166669</v>
      </c>
      <c r="J9" s="3">
        <v>163.21565137499999</v>
      </c>
      <c r="K9" s="3">
        <v>162.52127044166664</v>
      </c>
      <c r="L9" s="3">
        <v>164.63746916666668</v>
      </c>
      <c r="M9" s="3">
        <v>166.97228000000004</v>
      </c>
      <c r="N9" s="3">
        <v>167.01988583333335</v>
      </c>
      <c r="O9" s="3">
        <f>SUM(C9:N9)</f>
        <v>1837.6622092583332</v>
      </c>
    </row>
    <row r="10" spans="2:15">
      <c r="B10" s="1" t="s">
        <v>23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>2651.53919497483-O9</f>
        <v>813.87698571649685</v>
      </c>
    </row>
    <row r="11" spans="2:15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>
      <c r="B12" s="1" t="s">
        <v>30</v>
      </c>
      <c r="C12" s="3">
        <f>C9*$C$6</f>
        <v>18495.629096215926</v>
      </c>
      <c r="D12" s="3">
        <f t="shared" ref="D12:N12" si="1">D9*$C$6</f>
        <v>21884.012528026084</v>
      </c>
      <c r="E12" s="3">
        <f t="shared" si="1"/>
        <v>23467.255108924619</v>
      </c>
      <c r="F12" s="3">
        <f t="shared" si="1"/>
        <v>25148.499895423356</v>
      </c>
      <c r="G12" s="3">
        <f t="shared" si="1"/>
        <v>26093.38901476291</v>
      </c>
      <c r="H12" s="3">
        <f t="shared" si="1"/>
        <v>26275.124463375032</v>
      </c>
      <c r="I12" s="3">
        <f t="shared" si="1"/>
        <v>26920.054381592519</v>
      </c>
      <c r="J12" s="3">
        <f t="shared" si="1"/>
        <v>27106.182498409351</v>
      </c>
      <c r="K12" s="3">
        <f t="shared" si="1"/>
        <v>26990.862575694926</v>
      </c>
      <c r="L12" s="3">
        <f t="shared" si="1"/>
        <v>27342.312135583998</v>
      </c>
      <c r="M12" s="3">
        <f t="shared" si="1"/>
        <v>27730.067893162595</v>
      </c>
      <c r="N12" s="3">
        <f t="shared" si="1"/>
        <v>27737.974073700127</v>
      </c>
      <c r="O12" s="3">
        <f>SUM(C12:N12)</f>
        <v>305191.36366487143</v>
      </c>
    </row>
    <row r="13" spans="2:15">
      <c r="B13" s="1" t="s">
        <v>31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100212.68</v>
      </c>
    </row>
    <row r="14" spans="2:15" ht="33">
      <c r="B14" s="11" t="s">
        <v>32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3">
        <f>O12-O13</f>
        <v>204978.68366487144</v>
      </c>
    </row>
    <row r="15" spans="2:15">
      <c r="B15" s="1" t="s">
        <v>28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">
        <f>O10*C4-O10*564.77</f>
        <v>98728.061802598357</v>
      </c>
    </row>
    <row r="16" spans="2:15">
      <c r="B16" s="1" t="s">
        <v>15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">
        <f>O14+O15</f>
        <v>303706.74546746979</v>
      </c>
    </row>
    <row r="18" spans="2:15">
      <c r="B18" s="14" t="s">
        <v>29</v>
      </c>
      <c r="C18" s="14" t="s">
        <v>1</v>
      </c>
      <c r="D18" s="14" t="s">
        <v>2</v>
      </c>
      <c r="E18" s="14" t="s">
        <v>5</v>
      </c>
      <c r="F18" s="14" t="s">
        <v>6</v>
      </c>
      <c r="G18" s="14" t="s">
        <v>7</v>
      </c>
      <c r="H18" s="14" t="s">
        <v>8</v>
      </c>
      <c r="I18" s="14" t="s">
        <v>9</v>
      </c>
      <c r="J18" s="14" t="s">
        <v>10</v>
      </c>
      <c r="K18" s="14" t="s">
        <v>11</v>
      </c>
      <c r="L18" s="14" t="s">
        <v>12</v>
      </c>
      <c r="M18" s="14" t="s">
        <v>13</v>
      </c>
      <c r="N18" s="14" t="s">
        <v>14</v>
      </c>
      <c r="O18" s="14" t="s">
        <v>15</v>
      </c>
    </row>
    <row r="19" spans="2:15">
      <c r="B19" s="1" t="s">
        <v>22</v>
      </c>
      <c r="C19" s="3">
        <v>170.82812416666701</v>
      </c>
      <c r="D19" s="3">
        <v>171.19750333333332</v>
      </c>
      <c r="E19" s="3">
        <v>171.38885499999998</v>
      </c>
      <c r="F19" s="3">
        <v>172.17177583333333</v>
      </c>
      <c r="G19" s="3">
        <v>171.84789083333334</v>
      </c>
      <c r="H19" s="3">
        <v>171.86241083333329</v>
      </c>
      <c r="I19" s="3">
        <v>172.62135750000002</v>
      </c>
      <c r="J19" s="3">
        <v>173.08305249999995</v>
      </c>
      <c r="K19" s="3">
        <v>173.09975916666667</v>
      </c>
      <c r="L19" s="3">
        <v>172.84455166666666</v>
      </c>
      <c r="M19" s="3">
        <v>173.026475</v>
      </c>
      <c r="N19" s="3">
        <v>172.51340916666669</v>
      </c>
      <c r="O19" s="3">
        <f>SUM(C19:N19)</f>
        <v>2066.4851650000001</v>
      </c>
    </row>
    <row r="20" spans="2:15">
      <c r="B20" s="1" t="s">
        <v>23</v>
      </c>
      <c r="C20" s="3">
        <f>15106.2/520.45</f>
        <v>29.025266596214813</v>
      </c>
      <c r="D20" s="3">
        <f>15834.75/520.45</f>
        <v>30.425112883081944</v>
      </c>
      <c r="E20" s="3">
        <f>17537.82/520.45</f>
        <v>33.697415697953687</v>
      </c>
      <c r="F20" s="3">
        <f>20503.13/520.45</f>
        <v>39.395004323181858</v>
      </c>
      <c r="G20" s="3">
        <f>20135.21/520.45</f>
        <v>38.688077625132095</v>
      </c>
      <c r="H20" s="3">
        <f>19305.97/520.45</f>
        <v>37.094764146411755</v>
      </c>
      <c r="I20" s="3">
        <f>26188.919/653.49</f>
        <v>40.075470167867913</v>
      </c>
      <c r="J20" s="3">
        <f>25383.04/653.49</f>
        <v>38.84227761710202</v>
      </c>
      <c r="K20" s="3">
        <f>28520.3/653.49</f>
        <v>43.643054981713568</v>
      </c>
      <c r="L20" s="3">
        <f>26105.51/653.49</f>
        <v>39.947833937780224</v>
      </c>
      <c r="M20" s="3">
        <f>25431.049/653.49</f>
        <v>38.915743163629131</v>
      </c>
      <c r="N20" s="3">
        <f>23901.22/653.49</f>
        <v>36.574729529143525</v>
      </c>
      <c r="O20" s="3">
        <f>SUM(C20:N20)</f>
        <v>446.32475066921256</v>
      </c>
    </row>
    <row r="21" spans="2:1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>
      <c r="B22" s="1" t="s">
        <v>30</v>
      </c>
      <c r="C22" s="3">
        <f>C19*$D$6</f>
        <v>31704.216110770089</v>
      </c>
      <c r="D22" s="3">
        <f t="shared" ref="D22:G22" si="2">D19*$D$6</f>
        <v>31772.769675845706</v>
      </c>
      <c r="E22" s="3">
        <f t="shared" si="2"/>
        <v>31808.282883186417</v>
      </c>
      <c r="F22" s="3">
        <f t="shared" si="2"/>
        <v>31953.586189762609</v>
      </c>
      <c r="G22" s="3">
        <f t="shared" si="2"/>
        <v>31893.475946878843</v>
      </c>
      <c r="H22" s="3">
        <f>H19*$D$6</f>
        <v>31896.170732764785</v>
      </c>
      <c r="I22" s="3">
        <f>I19*$E$6</f>
        <v>29344.131465236242</v>
      </c>
      <c r="J22" s="3">
        <f t="shared" ref="J22:N22" si="3">J19*$E$6</f>
        <v>29422.615605165684</v>
      </c>
      <c r="K22" s="3">
        <f t="shared" si="3"/>
        <v>29425.455593392599</v>
      </c>
      <c r="L22" s="3">
        <f t="shared" si="3"/>
        <v>29382.072535007632</v>
      </c>
      <c r="M22" s="3">
        <f t="shared" si="3"/>
        <v>29412.997921571849</v>
      </c>
      <c r="N22" s="3">
        <f t="shared" si="3"/>
        <v>29325.781186159176</v>
      </c>
      <c r="O22" s="3">
        <f>SUM(C22:N22)</f>
        <v>367341.55584574159</v>
      </c>
    </row>
    <row r="23" spans="2:15">
      <c r="B23" s="1" t="s">
        <v>31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>
        <v>298163.37439999997</v>
      </c>
    </row>
    <row r="24" spans="2:15" ht="33">
      <c r="B24" s="11" t="s">
        <v>32</v>
      </c>
      <c r="C24" s="14"/>
      <c r="D24" s="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3">
        <f>O22-O23</f>
        <v>69178.181445741619</v>
      </c>
    </row>
    <row r="25" spans="2:15">
      <c r="B25" s="1" t="s">
        <v>28</v>
      </c>
      <c r="C25" s="3">
        <f>C20*($D$4-520.45)</f>
        <v>5373.7760101653303</v>
      </c>
      <c r="D25" s="3">
        <f t="shared" ref="D25:H25" si="4">D20*($D$4-520.45)</f>
        <v>5632.9453917573874</v>
      </c>
      <c r="E25" s="3">
        <f t="shared" si="4"/>
        <v>6238.7838362127941</v>
      </c>
      <c r="F25" s="3">
        <f t="shared" si="4"/>
        <v>7293.6428835379565</v>
      </c>
      <c r="G25" s="3">
        <f t="shared" si="4"/>
        <v>7162.761545434395</v>
      </c>
      <c r="H25" s="3">
        <f t="shared" si="4"/>
        <v>6867.7733936378145</v>
      </c>
      <c r="I25" s="3">
        <f>I20*($D$4-653.49)</f>
        <v>2087.9846733348909</v>
      </c>
      <c r="J25" s="3">
        <f t="shared" ref="J25:N25" si="5">J20*($D$4-653.49)</f>
        <v>2023.7337204581245</v>
      </c>
      <c r="K25" s="3">
        <f t="shared" si="5"/>
        <v>2273.8605315825785</v>
      </c>
      <c r="L25" s="3">
        <f t="shared" si="5"/>
        <v>2081.3346579746467</v>
      </c>
      <c r="M25" s="3">
        <f t="shared" si="5"/>
        <v>2027.5613719996845</v>
      </c>
      <c r="N25" s="3">
        <f t="shared" si="5"/>
        <v>1905.5914844749936</v>
      </c>
      <c r="O25" s="3">
        <f>SUM(C25:N25)</f>
        <v>50969.749500570593</v>
      </c>
    </row>
    <row r="26" spans="2:15">
      <c r="B26" s="1" t="s">
        <v>15</v>
      </c>
      <c r="D26" s="2"/>
      <c r="O26" s="7">
        <f>O24+O25</f>
        <v>120147.9309463122</v>
      </c>
    </row>
    <row r="28" spans="2:15">
      <c r="O28" s="2">
        <f>O16+O26</f>
        <v>423854.676413782</v>
      </c>
    </row>
  </sheetData>
  <mergeCells count="3">
    <mergeCell ref="D2:E2"/>
    <mergeCell ref="C2:C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Межнорматив (2)</vt:lpstr>
      <vt:lpstr> Межнормативная разница</vt:lpstr>
      <vt:lpstr>Лист3</vt:lpstr>
      <vt:lpstr>' Межнормативная разница'!Область_печати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denisova</dc:creator>
  <cp:lastModifiedBy>minfin user</cp:lastModifiedBy>
  <cp:lastPrinted>2023-05-16T08:44:45Z</cp:lastPrinted>
  <dcterms:created xsi:type="dcterms:W3CDTF">2023-01-25T08:47:50Z</dcterms:created>
  <dcterms:modified xsi:type="dcterms:W3CDTF">2023-05-16T08:44:46Z</dcterms:modified>
</cp:coreProperties>
</file>